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han\Documents\2023\Enefit280-2 loataotluse täiendamine 2023\"/>
    </mc:Choice>
  </mc:AlternateContent>
  <xr:revisionPtr revIDLastSave="0" documentId="13_ncr:1_{F91842D9-1EF8-4897-96AE-947C8094F2B6}" xr6:coauthVersionLast="47" xr6:coauthVersionMax="47" xr10:uidLastSave="{00000000-0000-0000-0000-000000000000}"/>
  <bookViews>
    <workbookView xWindow="19090" yWindow="-110" windowWidth="19420" windowHeight="10300" xr2:uid="{15283718-73A7-4CA3-8700-790A735E7FBB}"/>
  </bookViews>
  <sheets>
    <sheet name="Enefit280-2 heite arvutus" sheetId="1" r:id="rId1"/>
    <sheet name="Leht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L13" i="1"/>
  <c r="H25" i="1"/>
  <c r="H19" i="1"/>
  <c r="B35" i="1"/>
  <c r="I13" i="1" l="1"/>
  <c r="C26" i="1"/>
  <c r="B25" i="1"/>
  <c r="C25" i="1" s="1"/>
  <c r="C22" i="1"/>
  <c r="C24" i="1"/>
  <c r="C21" i="1"/>
  <c r="C20" i="1"/>
  <c r="C23" i="1"/>
  <c r="C19" i="1"/>
  <c r="C18" i="1"/>
  <c r="C17" i="1"/>
  <c r="E3" i="1"/>
  <c r="E44" i="1" s="1"/>
  <c r="G44" i="1" s="1"/>
  <c r="E2" i="1"/>
  <c r="F33" i="1" s="1"/>
  <c r="B12" i="1"/>
  <c r="C8" i="1"/>
  <c r="C9" i="1"/>
  <c r="C10" i="1"/>
  <c r="C12" i="1" s="1"/>
  <c r="C7" i="1"/>
  <c r="H68" i="1"/>
  <c r="D39" i="1"/>
  <c r="F32" i="1" l="1"/>
  <c r="E26" i="1"/>
  <c r="E25" i="1"/>
  <c r="F25" i="1" s="1"/>
  <c r="F30" i="1"/>
  <c r="F31" i="1"/>
  <c r="E17" i="1"/>
  <c r="F17" i="1" s="1"/>
  <c r="E18" i="1"/>
  <c r="F18" i="1" s="1"/>
  <c r="E19" i="1"/>
  <c r="F19" i="1" s="1"/>
  <c r="E20" i="1"/>
  <c r="F20" i="1" s="1"/>
  <c r="E51" i="1"/>
  <c r="G51" i="1" s="1"/>
  <c r="E23" i="1"/>
  <c r="F23" i="1" s="1"/>
  <c r="E21" i="1"/>
  <c r="F21" i="1" s="1"/>
  <c r="E24" i="1"/>
  <c r="F24" i="1" s="1"/>
  <c r="E22" i="1"/>
  <c r="F22" i="1" s="1"/>
  <c r="E50" i="1"/>
  <c r="G50" i="1" s="1"/>
  <c r="F7" i="1"/>
  <c r="E49" i="1"/>
  <c r="G49" i="1" s="1"/>
  <c r="E39" i="1"/>
  <c r="G39" i="1" s="1"/>
  <c r="E43" i="1"/>
  <c r="G43" i="1" s="1"/>
  <c r="E42" i="1"/>
  <c r="G42" i="1" s="1"/>
  <c r="E48" i="1"/>
  <c r="G48" i="1" s="1"/>
  <c r="E47" i="1"/>
  <c r="G47" i="1" s="1"/>
  <c r="F9" i="1"/>
  <c r="E41" i="1"/>
  <c r="G41" i="1" s="1"/>
  <c r="E46" i="1"/>
  <c r="G46" i="1" s="1"/>
  <c r="E40" i="1"/>
  <c r="G40" i="1" s="1"/>
  <c r="E45" i="1"/>
  <c r="G45" i="1" s="1"/>
  <c r="E7" i="1"/>
  <c r="F10" i="1"/>
  <c r="F8" i="1"/>
  <c r="F26" i="1" l="1"/>
  <c r="F35" i="1" s="1"/>
  <c r="E35" i="1"/>
  <c r="F66" i="1"/>
  <c r="D66" i="1"/>
  <c r="H64" i="1"/>
  <c r="H66" i="1" l="1"/>
  <c r="K59" i="1" l="1"/>
  <c r="J53" i="1" l="1"/>
  <c r="F54" i="1" s="1"/>
  <c r="H54" i="1" s="1"/>
  <c r="H56" i="1"/>
  <c r="F40" i="1"/>
  <c r="F41" i="1"/>
  <c r="F42" i="1"/>
  <c r="F43" i="1"/>
  <c r="F44" i="1"/>
  <c r="F45" i="1"/>
  <c r="F46" i="1"/>
  <c r="F47" i="1"/>
  <c r="F39" i="1"/>
  <c r="D40" i="1"/>
  <c r="D41" i="1"/>
  <c r="D42" i="1"/>
  <c r="D43" i="1"/>
  <c r="D44" i="1"/>
  <c r="D45" i="1"/>
  <c r="D46" i="1"/>
  <c r="D47" i="1"/>
  <c r="F11" i="1" l="1"/>
  <c r="F12" i="1" s="1"/>
  <c r="E11" i="1"/>
  <c r="E12" i="1" s="1"/>
</calcChain>
</file>

<file path=xl/sharedStrings.xml><?xml version="1.0" encoding="utf-8"?>
<sst xmlns="http://schemas.openxmlformats.org/spreadsheetml/2006/main" count="132" uniqueCount="110">
  <si>
    <t>Kuivade suitsugaaside nominaalkulu</t>
  </si>
  <si>
    <t>SO2</t>
  </si>
  <si>
    <t>mg/Nm3</t>
  </si>
  <si>
    <t>NOx</t>
  </si>
  <si>
    <t>CO</t>
  </si>
  <si>
    <t>PM-sum</t>
  </si>
  <si>
    <t>g/s</t>
  </si>
  <si>
    <t>t/a</t>
  </si>
  <si>
    <t>Töötundide arv aastas</t>
  </si>
  <si>
    <t>mg/t õli</t>
  </si>
  <si>
    <t>Pb</t>
  </si>
  <si>
    <t>Cd</t>
  </si>
  <si>
    <t>Hg</t>
  </si>
  <si>
    <t>As</t>
  </si>
  <si>
    <t>Cr</t>
  </si>
  <si>
    <t>Cu</t>
  </si>
  <si>
    <t>Ni</t>
  </si>
  <si>
    <t>Zn</t>
  </si>
  <si>
    <t>V</t>
  </si>
  <si>
    <t>PCDD/PCDF</t>
  </si>
  <si>
    <t>ng/GJ</t>
  </si>
  <si>
    <t>tootlikkus</t>
  </si>
  <si>
    <t>t/h õli</t>
  </si>
  <si>
    <t>mg/s</t>
  </si>
  <si>
    <t>kg/a</t>
  </si>
  <si>
    <t>GJ/h</t>
  </si>
  <si>
    <t>ng/a</t>
  </si>
  <si>
    <t>mg/a</t>
  </si>
  <si>
    <t>künnis</t>
  </si>
  <si>
    <t>heide jääb alla künnise</t>
  </si>
  <si>
    <t>tinglik soojusvõimsus 280t/h</t>
  </si>
  <si>
    <t>põlevkivi kütteväärtus.MJ/kg</t>
  </si>
  <si>
    <t>Seadme 280-1 korstna heide</t>
  </si>
  <si>
    <t>t/h</t>
  </si>
  <si>
    <t>maksimaalne</t>
  </si>
  <si>
    <t>keskmine</t>
  </si>
  <si>
    <t>tööaeg</t>
  </si>
  <si>
    <t>nm3/s</t>
  </si>
  <si>
    <t>mg/nm3</t>
  </si>
  <si>
    <t>NH3</t>
  </si>
  <si>
    <t>metaan</t>
  </si>
  <si>
    <t>H2S</t>
  </si>
  <si>
    <t>Retorditihendite ventilatsiooni heide</t>
  </si>
  <si>
    <t>h/a</t>
  </si>
  <si>
    <t>NMVOC kontsentratsioon</t>
  </si>
  <si>
    <t>sisendi tihend</t>
  </si>
  <si>
    <t>väljundi tihend</t>
  </si>
  <si>
    <t>kokku</t>
  </si>
  <si>
    <t>mahtkiirus</t>
  </si>
  <si>
    <t>heitkogus</t>
  </si>
  <si>
    <t>heitkogus taotlusesse</t>
  </si>
  <si>
    <t>Enefit280 taotlus:</t>
  </si>
  <si>
    <t>tonni õõp</t>
  </si>
  <si>
    <t>projektkoormusel</t>
  </si>
  <si>
    <t>kuni</t>
  </si>
  <si>
    <t>(ajas arvestatakse ka üleskütmisperioode, maha arvestatud aastastest töötundidest nominaalne seisakute aeg 1008 h)</t>
  </si>
  <si>
    <t>(arvestuslik, vastab nominaalkoormusel töötundidele, tegelikult on normaalrežiimi koormus alates 75% nominaalsest, st tegelik tööaeg võib pikem olla)</t>
  </si>
  <si>
    <t>PM10</t>
  </si>
  <si>
    <t>PM2.5</t>
  </si>
  <si>
    <t>t/a (KMH aruande alt 2 kogus)</t>
  </si>
  <si>
    <r>
      <rPr>
        <b/>
        <sz val="11"/>
        <color theme="1"/>
        <rFont val="Calibri"/>
        <family val="2"/>
        <scheme val="minor"/>
      </rPr>
      <t>CO2 heitkogus</t>
    </r>
    <r>
      <rPr>
        <sz val="11"/>
        <color theme="1"/>
        <rFont val="Calibri"/>
        <family val="2"/>
        <scheme val="minor"/>
      </rPr>
      <t xml:space="preserve"> põlevkiviõli tootmisel sõltub nii põlevkivi kui uttegaaside koostisest ja see arvutatakse täpselt välja iga aruandeperioodi jaoks. Siinkohal on lähtutud 'eriheitest: 265 kgCO2/t põl34evkivi (2020. a veebruari eriheide, kuukeskmised vahemikus 213-334 kgCO2/t). </t>
    </r>
  </si>
  <si>
    <t>Enefit280-1 seadme põlevkivikulu (KMH aruande alt 2 järgi):</t>
  </si>
  <si>
    <t>tonni CO2-ekv (arvestatud EL heitkogustega kauplemise süsteemi kuuluva kogusega)</t>
  </si>
  <si>
    <t>(fraktsioonkoostise mõõtmiste andmetest lähtuvalt ligikaudu võrne PM-sum-ga)</t>
  </si>
  <si>
    <t>(fraktsioonkoostise mõõtmiste andmetest lähtuvalt jääb maksimaalne osakaal alla 75% PM-sum)</t>
  </si>
  <si>
    <t>Nm3/s (4% O2)</t>
  </si>
  <si>
    <t>Pidevseire andmetest lähtuvad heitkogused</t>
  </si>
  <si>
    <t>kuu HPV (6%O2)</t>
  </si>
  <si>
    <t>ümberarvutus 6% O2 HPV-st mõõdetud sisaldusele Em = Er*(21-Om)/(21-Or)</t>
  </si>
  <si>
    <t>mg/Nm3, 4% O2</t>
  </si>
  <si>
    <t>Nm3/s (5.82% O2)</t>
  </si>
  <si>
    <t>mg/Nm3 on maksimaalne E280 mõõdetud kogus</t>
  </si>
  <si>
    <t>SO2 maksimaalne võimalik hetkeline heitkogus on kombineeritud maksimum seire käigus mõõdetud ääreväärtuste kokkulangemisest</t>
  </si>
  <si>
    <t>mg/Nm3 6%O2</t>
  </si>
  <si>
    <t>(CH3)2S</t>
  </si>
  <si>
    <t>CH3SH</t>
  </si>
  <si>
    <r>
      <t xml:space="preserve">mõõtm max. </t>
    </r>
    <r>
      <rPr>
        <sz val="11"/>
        <color theme="1"/>
        <rFont val="Calibri"/>
        <family val="2"/>
      </rPr>
      <t>µg/Nm3</t>
    </r>
  </si>
  <si>
    <t>mõõtm.</t>
  </si>
  <si>
    <t>Mn</t>
  </si>
  <si>
    <t>Co</t>
  </si>
  <si>
    <t>Tl</t>
  </si>
  <si>
    <t>Sb</t>
  </si>
  <si>
    <t xml:space="preserve">Määruse nr 59 lisa 12 eriheited vs mõõtmised: </t>
  </si>
  <si>
    <t>5.82% O2 max sts.</t>
  </si>
  <si>
    <t>HCl</t>
  </si>
  <si>
    <t>HF</t>
  </si>
  <si>
    <t>formaldeh</t>
  </si>
  <si>
    <t>Aromaatika (TEX)</t>
  </si>
  <si>
    <t>benseen</t>
  </si>
  <si>
    <t>fenool</t>
  </si>
  <si>
    <t>atsetoon</t>
  </si>
  <si>
    <t>Perioodiliste mõõtmiste alusel arvutatud maksimeeritud heitkogused</t>
  </si>
  <si>
    <t>Perioodiliste mõõtmiste tulemustest võetud heitkogused (leidumine ja/või tasemed vajavad kinnitamist järgmiste mõõtmistega)</t>
  </si>
  <si>
    <t>(hetkheide mõõtmisprotokollist)</t>
  </si>
  <si>
    <t>dimetüüldisulfiid</t>
  </si>
  <si>
    <t>mõõdetud4% O2 sisaldusel</t>
  </si>
  <si>
    <t>Protokoll1</t>
  </si>
  <si>
    <t>Protokoll2</t>
  </si>
  <si>
    <t>266 t/h</t>
  </si>
  <si>
    <t>156.5 oC</t>
  </si>
  <si>
    <t>4%O2</t>
  </si>
  <si>
    <t>Nm3/s</t>
  </si>
  <si>
    <t>Nm3/h</t>
  </si>
  <si>
    <t>NMVOC</t>
  </si>
  <si>
    <t>Arvutuslik (liidetud kokku):</t>
  </si>
  <si>
    <t>NMHC - ainult NMVOC</t>
  </si>
  <si>
    <t>(VOC)</t>
  </si>
  <si>
    <t>265 t/h</t>
  </si>
  <si>
    <t>147 oC</t>
  </si>
  <si>
    <t>2.3%O2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</si>
</sst>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name val="Arial"/>
      <family val="2"/>
      <charset val="186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0" fillId="0" borderId="0" xfId="0" applyNumberFormat="1"/>
    <xf numFmtId="9" fontId="0" fillId="0" borderId="0" xfId="0" applyNumberFormat="1"/>
    <xf numFmtId="0" fontId="0" fillId="2" borderId="0" xfId="0" applyFill="1"/>
    <xf numFmtId="2" fontId="0" fillId="0" borderId="0" xfId="0" applyNumberFormat="1"/>
    <xf numFmtId="0" fontId="6" fillId="0" borderId="0" xfId="0" applyFont="1"/>
    <xf numFmtId="164" fontId="0" fillId="2" borderId="0" xfId="0" applyNumberFormat="1" applyFill="1"/>
    <xf numFmtId="164" fontId="0" fillId="3" borderId="0" xfId="0" applyNumberFormat="1" applyFill="1"/>
    <xf numFmtId="0" fontId="0" fillId="3" borderId="0" xfId="0" applyFill="1"/>
    <xf numFmtId="0" fontId="8" fillId="0" borderId="0" xfId="0" applyFont="1"/>
    <xf numFmtId="164" fontId="8" fillId="0" borderId="0" xfId="0" applyNumberFormat="1" applyFont="1"/>
    <xf numFmtId="164" fontId="1" fillId="0" borderId="0" xfId="0" applyNumberFormat="1" applyFont="1"/>
    <xf numFmtId="0" fontId="9" fillId="0" borderId="0" xfId="0" applyFont="1"/>
    <xf numFmtId="164" fontId="9" fillId="0" borderId="0" xfId="0" applyNumberFormat="1" applyFont="1"/>
  </cellXfs>
  <cellStyles count="2">
    <cellStyle name="Normaallaad" xfId="0" builtinId="0"/>
    <cellStyle name="Normal 2" xfId="1" xr:uid="{60A5DC49-08A5-4B01-8744-75A31C122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447F-8A50-40EA-BE46-2EDFB0520E15}">
  <dimension ref="A1:T80"/>
  <sheetViews>
    <sheetView tabSelected="1" topLeftCell="A22" zoomScale="130" zoomScaleNormal="130" workbookViewId="0">
      <selection activeCell="K32" sqref="K32"/>
    </sheetView>
  </sheetViews>
  <sheetFormatPr defaultRowHeight="14.5" x14ac:dyDescent="0.35"/>
  <cols>
    <col min="1" max="1" width="19.54296875" customWidth="1"/>
    <col min="2" max="2" width="13.453125" customWidth="1"/>
    <col min="3" max="3" width="18.6328125" customWidth="1"/>
    <col min="4" max="4" width="9.36328125" bestFit="1" customWidth="1"/>
    <col min="6" max="6" width="9.6328125" bestFit="1" customWidth="1"/>
    <col min="8" max="8" width="9.81640625" bestFit="1" customWidth="1"/>
    <col min="11" max="11" width="10.7265625" bestFit="1" customWidth="1"/>
  </cols>
  <sheetData>
    <row r="1" spans="1:20" x14ac:dyDescent="0.35">
      <c r="A1" s="1" t="s">
        <v>32</v>
      </c>
    </row>
    <row r="2" spans="1:20" x14ac:dyDescent="0.35">
      <c r="A2" t="s">
        <v>0</v>
      </c>
      <c r="E2">
        <f>230/3.6</f>
        <v>63.888888888888886</v>
      </c>
      <c r="F2" t="s">
        <v>65</v>
      </c>
      <c r="H2" t="s">
        <v>35</v>
      </c>
    </row>
    <row r="3" spans="1:20" x14ac:dyDescent="0.35">
      <c r="E3">
        <f>285000/3600</f>
        <v>79.166666666666671</v>
      </c>
      <c r="F3" t="s">
        <v>70</v>
      </c>
      <c r="H3" t="s">
        <v>34</v>
      </c>
      <c r="J3" t="s">
        <v>1</v>
      </c>
      <c r="K3">
        <v>80</v>
      </c>
      <c r="L3" t="s">
        <v>71</v>
      </c>
    </row>
    <row r="4" spans="1:20" x14ac:dyDescent="0.35">
      <c r="A4" t="s">
        <v>8</v>
      </c>
      <c r="E4">
        <v>7200</v>
      </c>
      <c r="F4" t="s">
        <v>56</v>
      </c>
    </row>
    <row r="5" spans="1:20" x14ac:dyDescent="0.35">
      <c r="A5" s="3" t="s">
        <v>66</v>
      </c>
    </row>
    <row r="6" spans="1:20" x14ac:dyDescent="0.35">
      <c r="A6" t="s">
        <v>67</v>
      </c>
      <c r="C6" t="s">
        <v>69</v>
      </c>
      <c r="E6" t="s">
        <v>6</v>
      </c>
      <c r="F6" t="s">
        <v>7</v>
      </c>
      <c r="H6" t="s">
        <v>68</v>
      </c>
    </row>
    <row r="7" spans="1:20" x14ac:dyDescent="0.35">
      <c r="A7" t="s">
        <v>1</v>
      </c>
      <c r="B7">
        <v>20</v>
      </c>
      <c r="C7" s="9">
        <f>B7*(21-4)/(21-6)</f>
        <v>22.666666666666668</v>
      </c>
      <c r="E7" s="11">
        <f>E3*80/1000</f>
        <v>6.3333333333333339</v>
      </c>
      <c r="F7" s="2">
        <f>C7*3600*$E$2*$E$4/1000/1000/1000</f>
        <v>37.536000000000001</v>
      </c>
      <c r="H7" s="8" t="s">
        <v>72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35">
      <c r="A8" t="s">
        <v>3</v>
      </c>
      <c r="B8">
        <v>210</v>
      </c>
      <c r="C8" s="9">
        <f t="shared" ref="C8:C10" si="0">B8*(21-4)/(21-6)</f>
        <v>238</v>
      </c>
      <c r="E8">
        <v>16.952000000000002</v>
      </c>
      <c r="F8" s="2">
        <f>C8*3600*$E$2*$E$4/1000/1000/1000</f>
        <v>394.12799999999999</v>
      </c>
    </row>
    <row r="9" spans="1:20" x14ac:dyDescent="0.35">
      <c r="A9" t="s">
        <v>4</v>
      </c>
      <c r="B9">
        <v>1150</v>
      </c>
      <c r="C9" s="9">
        <f t="shared" si="0"/>
        <v>1303.3333333333333</v>
      </c>
      <c r="E9" s="2">
        <v>84.762</v>
      </c>
      <c r="F9" s="2">
        <f>C9*3600*$E$2*$E$4/1000/1000/1000</f>
        <v>2158.3199999999997</v>
      </c>
      <c r="M9" s="7"/>
    </row>
    <row r="10" spans="1:20" x14ac:dyDescent="0.35">
      <c r="A10" t="s">
        <v>5</v>
      </c>
      <c r="B10">
        <v>135</v>
      </c>
      <c r="C10" s="9">
        <f t="shared" si="0"/>
        <v>153</v>
      </c>
      <c r="E10">
        <v>14.127000000000001</v>
      </c>
      <c r="F10" s="2">
        <f>C10*3600*$E$2*$E$4/1000/1000/1000</f>
        <v>253.36799999999999</v>
      </c>
    </row>
    <row r="11" spans="1:20" x14ac:dyDescent="0.35">
      <c r="A11" t="s">
        <v>57</v>
      </c>
      <c r="E11">
        <f>E10</f>
        <v>14.127000000000001</v>
      </c>
      <c r="F11" s="2">
        <f>F10</f>
        <v>253.36799999999999</v>
      </c>
      <c r="G11" t="s">
        <v>63</v>
      </c>
    </row>
    <row r="12" spans="1:20" x14ac:dyDescent="0.35">
      <c r="A12" t="s">
        <v>58</v>
      </c>
      <c r="B12">
        <f>B10*0.75</f>
        <v>101.25</v>
      </c>
      <c r="C12" s="9">
        <f>C10*0.75</f>
        <v>114.75</v>
      </c>
      <c r="E12" s="2">
        <f>E11*0.75</f>
        <v>10.59525</v>
      </c>
      <c r="F12" s="2">
        <f>F11*0.75</f>
        <v>190.02600000000001</v>
      </c>
      <c r="G12" t="s">
        <v>64</v>
      </c>
    </row>
    <row r="13" spans="1:20" x14ac:dyDescent="0.35">
      <c r="C13" s="9"/>
      <c r="E13" s="2"/>
      <c r="F13" s="2"/>
      <c r="H13" t="s">
        <v>99</v>
      </c>
      <c r="I13">
        <f>I14*3600</f>
        <v>183600</v>
      </c>
      <c r="J13" t="s">
        <v>102</v>
      </c>
      <c r="K13" t="s">
        <v>108</v>
      </c>
      <c r="L13">
        <f>L14*3600</f>
        <v>169560</v>
      </c>
      <c r="M13" t="s">
        <v>102</v>
      </c>
    </row>
    <row r="14" spans="1:20" x14ac:dyDescent="0.35">
      <c r="F14" s="2"/>
      <c r="H14" t="s">
        <v>98</v>
      </c>
      <c r="I14">
        <v>51</v>
      </c>
      <c r="J14" t="s">
        <v>101</v>
      </c>
      <c r="K14" t="s">
        <v>107</v>
      </c>
      <c r="L14">
        <v>47.1</v>
      </c>
      <c r="M14" t="s">
        <v>101</v>
      </c>
    </row>
    <row r="15" spans="1:20" x14ac:dyDescent="0.35">
      <c r="A15" s="3" t="s">
        <v>91</v>
      </c>
      <c r="F15" s="2"/>
      <c r="H15" t="s">
        <v>96</v>
      </c>
      <c r="I15" t="s">
        <v>100</v>
      </c>
      <c r="K15" t="s">
        <v>97</v>
      </c>
      <c r="L15" t="s">
        <v>109</v>
      </c>
    </row>
    <row r="16" spans="1:20" x14ac:dyDescent="0.35">
      <c r="B16" t="s">
        <v>73</v>
      </c>
      <c r="C16" t="s">
        <v>83</v>
      </c>
      <c r="E16" t="s">
        <v>6</v>
      </c>
      <c r="F16" s="2" t="s">
        <v>7</v>
      </c>
      <c r="H16" t="s">
        <v>6</v>
      </c>
      <c r="K16" t="s">
        <v>6</v>
      </c>
    </row>
    <row r="17" spans="1:11" x14ac:dyDescent="0.35">
      <c r="A17" t="s">
        <v>41</v>
      </c>
      <c r="B17">
        <v>5</v>
      </c>
      <c r="C17" s="9">
        <f t="shared" ref="C17:C22" si="1">B17*(21-5.82)/(21-6)</f>
        <v>5.0600000000000005</v>
      </c>
      <c r="E17" s="2">
        <f t="shared" ref="E17:E22" si="2">C17*$E$2/1000</f>
        <v>0.32327777777777778</v>
      </c>
      <c r="F17" s="2">
        <f t="shared" ref="F17:F22" si="3">E17*3.6*$E$4/1000</f>
        <v>8.3793599999999984</v>
      </c>
      <c r="H17">
        <v>0.10100000000000001</v>
      </c>
      <c r="K17">
        <v>0</v>
      </c>
    </row>
    <row r="18" spans="1:11" x14ac:dyDescent="0.35">
      <c r="A18" t="s">
        <v>74</v>
      </c>
      <c r="B18" s="1">
        <v>0.86</v>
      </c>
      <c r="C18" s="2">
        <f t="shared" si="1"/>
        <v>0.87031999999999998</v>
      </c>
      <c r="E18" s="16">
        <f t="shared" si="2"/>
        <v>5.5603777777777773E-2</v>
      </c>
      <c r="F18" s="16">
        <f t="shared" si="3"/>
        <v>1.4412499199999997</v>
      </c>
      <c r="H18">
        <v>3.0000000000000001E-3</v>
      </c>
      <c r="K18">
        <v>5.0999999999999997E-2</v>
      </c>
    </row>
    <row r="19" spans="1:11" x14ac:dyDescent="0.35">
      <c r="A19" s="8" t="s">
        <v>105</v>
      </c>
      <c r="B19" s="8">
        <v>2</v>
      </c>
      <c r="C19" s="11">
        <f t="shared" si="1"/>
        <v>2.024</v>
      </c>
      <c r="D19" s="8"/>
      <c r="E19" s="11">
        <f t="shared" si="2"/>
        <v>0.1293111111111111</v>
      </c>
      <c r="F19" s="11">
        <f t="shared" si="3"/>
        <v>3.3517440000000001</v>
      </c>
      <c r="H19">
        <f>0.059</f>
        <v>5.8999999999999997E-2</v>
      </c>
      <c r="K19">
        <v>0.20200000000000001</v>
      </c>
    </row>
    <row r="20" spans="1:11" x14ac:dyDescent="0.35">
      <c r="A20" t="s">
        <v>84</v>
      </c>
      <c r="B20">
        <v>2</v>
      </c>
      <c r="C20" s="2">
        <f t="shared" si="1"/>
        <v>2.024</v>
      </c>
      <c r="E20" s="2">
        <f t="shared" si="2"/>
        <v>0.1293111111111111</v>
      </c>
      <c r="F20" s="2">
        <f t="shared" si="3"/>
        <v>3.3517440000000001</v>
      </c>
      <c r="H20">
        <v>9.0999999999999998E-2</v>
      </c>
      <c r="K20">
        <v>5.7000000000000002E-2</v>
      </c>
    </row>
    <row r="21" spans="1:11" x14ac:dyDescent="0.35">
      <c r="A21" t="s">
        <v>85</v>
      </c>
      <c r="B21">
        <v>0.02</v>
      </c>
      <c r="C21" s="2">
        <f t="shared" si="1"/>
        <v>2.0239999999999998E-2</v>
      </c>
      <c r="E21" s="2">
        <f t="shared" si="2"/>
        <v>1.293111111111111E-3</v>
      </c>
      <c r="F21" s="2">
        <f t="shared" si="3"/>
        <v>3.3517440000000003E-2</v>
      </c>
      <c r="H21">
        <v>1E-3</v>
      </c>
      <c r="K21">
        <v>0</v>
      </c>
    </row>
    <row r="22" spans="1:11" x14ac:dyDescent="0.35">
      <c r="A22" t="s">
        <v>86</v>
      </c>
      <c r="B22">
        <v>1</v>
      </c>
      <c r="C22" s="2">
        <f t="shared" si="1"/>
        <v>1.012</v>
      </c>
      <c r="E22" s="2">
        <f t="shared" si="2"/>
        <v>6.4655555555555549E-2</v>
      </c>
      <c r="F22" s="2">
        <f t="shared" si="3"/>
        <v>1.675872</v>
      </c>
      <c r="H22">
        <v>3.7999999999999999E-2</v>
      </c>
      <c r="K22">
        <v>3.5000000000000003E-2</v>
      </c>
    </row>
    <row r="23" spans="1:11" x14ac:dyDescent="0.35">
      <c r="A23" t="s">
        <v>39</v>
      </c>
      <c r="B23">
        <v>4</v>
      </c>
      <c r="C23" s="2">
        <f>B23*(21-5.82)/(21-6)</f>
        <v>4.048</v>
      </c>
      <c r="E23" s="2">
        <f>C23*$E$2/1000</f>
        <v>0.2586222222222222</v>
      </c>
      <c r="F23" s="2">
        <f>E23*3.6*$E$4/1000</f>
        <v>6.7034880000000001</v>
      </c>
      <c r="H23">
        <v>0</v>
      </c>
      <c r="K23">
        <v>0</v>
      </c>
    </row>
    <row r="24" spans="1:11" x14ac:dyDescent="0.35">
      <c r="A24" t="s">
        <v>40</v>
      </c>
      <c r="B24">
        <v>10</v>
      </c>
      <c r="C24" s="2">
        <f>B24*(21-5.82)/(21-6)</f>
        <v>10.120000000000001</v>
      </c>
      <c r="E24" s="2">
        <f>C24*$E$2/1000</f>
        <v>0.64655555555555555</v>
      </c>
      <c r="F24" s="2">
        <f>E24*3.6*$E$4/1000</f>
        <v>16.758719999999997</v>
      </c>
      <c r="H24">
        <v>1.2999999999999999E-2</v>
      </c>
      <c r="K24">
        <v>9.9000000000000005E-2</v>
      </c>
    </row>
    <row r="25" spans="1:11" x14ac:dyDescent="0.35">
      <c r="A25" t="s">
        <v>87</v>
      </c>
      <c r="B25">
        <f>29.9+6.85+1</f>
        <v>37.75</v>
      </c>
      <c r="C25" s="2">
        <f>B25*(21-5.82)/(21-6)</f>
        <v>38.202999999999996</v>
      </c>
      <c r="E25" s="2">
        <f>C25*$E$2/1000</f>
        <v>2.440747222222222</v>
      </c>
      <c r="F25" s="2">
        <f>E25*3.6*$E$4/1000</f>
        <v>63.264167999999998</v>
      </c>
      <c r="H25">
        <f>1.731+0.396+0.049</f>
        <v>2.1760000000000002</v>
      </c>
      <c r="K25">
        <f>0.388+0.163+0.075</f>
        <v>0.626</v>
      </c>
    </row>
    <row r="26" spans="1:11" x14ac:dyDescent="0.35">
      <c r="A26" t="s">
        <v>88</v>
      </c>
      <c r="B26" s="17">
        <v>8</v>
      </c>
      <c r="C26" s="2">
        <f>B26*(21-5.82)/(21-6)</f>
        <v>8.0960000000000001</v>
      </c>
      <c r="E26" s="18">
        <f>C26*$E$2/1000</f>
        <v>0.5172444444444444</v>
      </c>
      <c r="F26" s="18">
        <f>E26*3.6*$E$4/1000</f>
        <v>13.406976</v>
      </c>
      <c r="H26">
        <v>7.1999999999999995E-2</v>
      </c>
      <c r="K26" s="1">
        <v>0.47299999999999998</v>
      </c>
    </row>
    <row r="27" spans="1:11" x14ac:dyDescent="0.35">
      <c r="C27" s="2"/>
      <c r="E27" s="2"/>
      <c r="F27" s="2"/>
    </row>
    <row r="28" spans="1:11" x14ac:dyDescent="0.35">
      <c r="A28" s="3" t="s">
        <v>92</v>
      </c>
      <c r="C28" s="2"/>
      <c r="E28" s="2"/>
      <c r="F28" s="2"/>
    </row>
    <row r="29" spans="1:11" x14ac:dyDescent="0.35">
      <c r="A29" s="3"/>
      <c r="B29" t="s">
        <v>73</v>
      </c>
      <c r="C29" t="s">
        <v>95</v>
      </c>
      <c r="E29" t="s">
        <v>6</v>
      </c>
      <c r="F29" s="2" t="s">
        <v>7</v>
      </c>
      <c r="G29" t="s">
        <v>93</v>
      </c>
    </row>
    <row r="30" spans="1:11" x14ac:dyDescent="0.35">
      <c r="A30" t="s">
        <v>90</v>
      </c>
      <c r="B30">
        <v>5.56</v>
      </c>
      <c r="C30" s="2">
        <v>6.3</v>
      </c>
      <c r="E30" s="2">
        <v>0.32200000000000001</v>
      </c>
      <c r="F30" s="2">
        <f>E30*3.6*$E$4/1000</f>
        <v>8.3462399999999999</v>
      </c>
      <c r="H30">
        <v>0.32200000000000001</v>
      </c>
      <c r="K30">
        <v>0.14399999999999999</v>
      </c>
    </row>
    <row r="31" spans="1:11" x14ac:dyDescent="0.35">
      <c r="A31" t="s">
        <v>75</v>
      </c>
      <c r="B31">
        <v>4.5599999999999996</v>
      </c>
      <c r="C31" s="9">
        <v>5.17</v>
      </c>
      <c r="E31" s="2">
        <v>0.26400000000000001</v>
      </c>
      <c r="F31" s="2">
        <f>E31*3.6*$E$4/1000</f>
        <v>6.8428800000000001</v>
      </c>
      <c r="H31">
        <v>0.26400000000000001</v>
      </c>
      <c r="K31">
        <v>8.8999999999999996E-2</v>
      </c>
    </row>
    <row r="32" spans="1:11" x14ac:dyDescent="0.35">
      <c r="A32" t="s">
        <v>89</v>
      </c>
      <c r="B32">
        <v>0.1</v>
      </c>
      <c r="C32" s="2">
        <v>0.12</v>
      </c>
      <c r="E32" s="2">
        <v>6.0000000000000001E-3</v>
      </c>
      <c r="F32" s="2">
        <f t="shared" ref="F32:F33" si="4">E32*3.6*$E$4/1000</f>
        <v>0.15552000000000002</v>
      </c>
      <c r="H32">
        <v>6.0000000000000001E-3</v>
      </c>
      <c r="K32">
        <v>0</v>
      </c>
    </row>
    <row r="33" spans="1:12" x14ac:dyDescent="0.35">
      <c r="A33" t="s">
        <v>94</v>
      </c>
      <c r="B33">
        <v>21.93</v>
      </c>
      <c r="C33" s="2">
        <v>24.82</v>
      </c>
      <c r="E33" s="2">
        <v>1.2689999999999999</v>
      </c>
      <c r="F33" s="2">
        <f t="shared" si="4"/>
        <v>32.892479999999999</v>
      </c>
      <c r="H33">
        <v>1.2689999999999999</v>
      </c>
      <c r="K33">
        <v>0.30199999999999999</v>
      </c>
    </row>
    <row r="34" spans="1:12" x14ac:dyDescent="0.35">
      <c r="A34" s="3" t="s">
        <v>104</v>
      </c>
      <c r="C34" s="2"/>
      <c r="E34" s="2"/>
      <c r="F34" s="2"/>
    </row>
    <row r="35" spans="1:12" x14ac:dyDescent="0.35">
      <c r="A35" t="s">
        <v>103</v>
      </c>
      <c r="B35" s="1">
        <f>B18+B19+B22+B25+B26+B30+B31+B32+B33</f>
        <v>81.760000000000005</v>
      </c>
      <c r="C35" s="16"/>
      <c r="D35" s="1"/>
      <c r="E35" s="16">
        <f>E18+E19+E22+E25+E26+E30+E31+E32+E33</f>
        <v>5.0685621111111105</v>
      </c>
      <c r="F35" s="16">
        <f>F18+F19+F22+F25+F26+F30+F31+F32+F33</f>
        <v>131.37712991999999</v>
      </c>
      <c r="H35">
        <v>2.7040000000000002</v>
      </c>
      <c r="I35" t="s">
        <v>106</v>
      </c>
      <c r="K35">
        <v>1.5349999999999999</v>
      </c>
    </row>
    <row r="36" spans="1:12" x14ac:dyDescent="0.35">
      <c r="C36" s="2"/>
      <c r="E36" s="2"/>
      <c r="F36" s="2"/>
    </row>
    <row r="37" spans="1:12" x14ac:dyDescent="0.35">
      <c r="A37" s="3" t="s">
        <v>82</v>
      </c>
      <c r="F37" t="s">
        <v>21</v>
      </c>
      <c r="G37">
        <v>40</v>
      </c>
      <c r="H37" t="s">
        <v>22</v>
      </c>
      <c r="I37">
        <v>267980</v>
      </c>
      <c r="J37" t="s">
        <v>59</v>
      </c>
    </row>
    <row r="38" spans="1:12" x14ac:dyDescent="0.35">
      <c r="B38" t="s">
        <v>9</v>
      </c>
      <c r="C38" t="s">
        <v>76</v>
      </c>
      <c r="D38" t="s">
        <v>23</v>
      </c>
      <c r="E38" t="s">
        <v>77</v>
      </c>
      <c r="F38" t="s">
        <v>24</v>
      </c>
      <c r="G38" t="s">
        <v>77</v>
      </c>
    </row>
    <row r="39" spans="1:12" x14ac:dyDescent="0.35">
      <c r="A39" t="s">
        <v>10</v>
      </c>
      <c r="B39">
        <v>22</v>
      </c>
      <c r="C39">
        <v>6.15</v>
      </c>
      <c r="D39" s="2">
        <f>B39*$G$37/3600</f>
        <v>0.24444444444444444</v>
      </c>
      <c r="E39" s="12">
        <f>C39*$E$3/1000</f>
        <v>0.48687500000000006</v>
      </c>
      <c r="F39">
        <f t="shared" ref="F39:F47" si="5">B39*$G$37*$E$4/1000/1000</f>
        <v>6.3360000000000003</v>
      </c>
      <c r="G39" s="12">
        <f>E39*3.6*$E$4/1000</f>
        <v>12.619800000000001</v>
      </c>
    </row>
    <row r="40" spans="1:12" x14ac:dyDescent="0.35">
      <c r="A40" t="s">
        <v>11</v>
      </c>
      <c r="B40">
        <v>1.3</v>
      </c>
      <c r="C40">
        <v>0.27</v>
      </c>
      <c r="D40" s="2">
        <f t="shared" ref="D40:D47" si="6">B40*$G$37/3600</f>
        <v>1.4444444444444444E-2</v>
      </c>
      <c r="E40" s="12">
        <f>C40*$E$3/1000</f>
        <v>2.1375000000000005E-2</v>
      </c>
      <c r="F40">
        <f t="shared" si="5"/>
        <v>0.37439999999999996</v>
      </c>
      <c r="G40" s="12">
        <f>E40*3.6*$E$4/1000</f>
        <v>0.55404000000000009</v>
      </c>
    </row>
    <row r="41" spans="1:12" x14ac:dyDescent="0.35">
      <c r="A41" t="s">
        <v>12</v>
      </c>
      <c r="B41">
        <v>4.5</v>
      </c>
      <c r="C41">
        <v>0.76</v>
      </c>
      <c r="D41" s="2">
        <f t="shared" si="6"/>
        <v>0.05</v>
      </c>
      <c r="E41" s="12">
        <f>C41*$E$3/1000</f>
        <v>6.0166666666666674E-2</v>
      </c>
      <c r="F41">
        <f t="shared" si="5"/>
        <v>1.296</v>
      </c>
      <c r="G41" s="12">
        <f>E41*3.6*$E$4/1000</f>
        <v>1.5595200000000002</v>
      </c>
    </row>
    <row r="42" spans="1:12" x14ac:dyDescent="0.35">
      <c r="A42" t="s">
        <v>13</v>
      </c>
      <c r="B42">
        <v>9</v>
      </c>
      <c r="C42">
        <v>3.88</v>
      </c>
      <c r="D42" s="2">
        <f t="shared" si="6"/>
        <v>0.1</v>
      </c>
      <c r="E42" s="12">
        <f t="shared" ref="E42:E51" si="7">C42*$E$3/1000</f>
        <v>0.3071666666666667</v>
      </c>
      <c r="F42">
        <f t="shared" si="5"/>
        <v>2.5920000000000001</v>
      </c>
      <c r="G42" s="12">
        <f t="shared" ref="G42:G51" si="8">E42*3.6*$E$4/1000</f>
        <v>7.9617600000000008</v>
      </c>
      <c r="L42" s="2"/>
    </row>
    <row r="43" spans="1:12" x14ac:dyDescent="0.35">
      <c r="A43" t="s">
        <v>14</v>
      </c>
      <c r="B43">
        <v>45</v>
      </c>
      <c r="C43">
        <v>8.61</v>
      </c>
      <c r="D43" s="2">
        <f t="shared" si="6"/>
        <v>0.5</v>
      </c>
      <c r="E43" s="12">
        <f t="shared" si="7"/>
        <v>0.68162500000000004</v>
      </c>
      <c r="F43">
        <f t="shared" si="5"/>
        <v>12.96</v>
      </c>
      <c r="G43" s="12">
        <f t="shared" si="8"/>
        <v>17.667720000000003</v>
      </c>
    </row>
    <row r="44" spans="1:12" x14ac:dyDescent="0.35">
      <c r="A44" t="s">
        <v>15</v>
      </c>
      <c r="B44">
        <v>45</v>
      </c>
      <c r="C44">
        <v>7.62</v>
      </c>
      <c r="D44" s="2">
        <f t="shared" si="6"/>
        <v>0.5</v>
      </c>
      <c r="E44" s="12">
        <f t="shared" si="7"/>
        <v>0.60324999999999995</v>
      </c>
      <c r="F44">
        <f t="shared" si="5"/>
        <v>12.96</v>
      </c>
      <c r="G44" s="12">
        <f t="shared" si="8"/>
        <v>15.636239999999999</v>
      </c>
    </row>
    <row r="45" spans="1:12" x14ac:dyDescent="0.35">
      <c r="A45" t="s">
        <v>16</v>
      </c>
      <c r="B45">
        <v>22.5</v>
      </c>
      <c r="C45">
        <v>0.4</v>
      </c>
      <c r="D45" s="12">
        <f t="shared" si="6"/>
        <v>0.25</v>
      </c>
      <c r="E45" s="2">
        <f t="shared" si="7"/>
        <v>3.1666666666666669E-2</v>
      </c>
      <c r="F45" s="13">
        <f t="shared" si="5"/>
        <v>6.48</v>
      </c>
      <c r="G45" s="2">
        <f t="shared" si="8"/>
        <v>0.8208000000000002</v>
      </c>
    </row>
    <row r="46" spans="1:12" x14ac:dyDescent="0.35">
      <c r="A46" t="s">
        <v>17</v>
      </c>
      <c r="B46">
        <v>300</v>
      </c>
      <c r="C46">
        <v>29.45</v>
      </c>
      <c r="D46" s="12">
        <f t="shared" si="6"/>
        <v>3.3333333333333335</v>
      </c>
      <c r="E46" s="2">
        <f t="shared" si="7"/>
        <v>2.3314583333333334</v>
      </c>
      <c r="F46" s="13">
        <f t="shared" si="5"/>
        <v>86.4</v>
      </c>
      <c r="G46" s="2">
        <f t="shared" si="8"/>
        <v>60.431400000000004</v>
      </c>
    </row>
    <row r="47" spans="1:12" x14ac:dyDescent="0.35">
      <c r="A47" t="s">
        <v>18</v>
      </c>
      <c r="B47">
        <v>22.5</v>
      </c>
      <c r="C47">
        <v>6.43</v>
      </c>
      <c r="D47" s="2">
        <f t="shared" si="6"/>
        <v>0.25</v>
      </c>
      <c r="E47" s="12">
        <f t="shared" si="7"/>
        <v>0.50904166666666673</v>
      </c>
      <c r="F47">
        <f t="shared" si="5"/>
        <v>6.48</v>
      </c>
      <c r="G47" s="12">
        <f t="shared" si="8"/>
        <v>13.194360000000003</v>
      </c>
    </row>
    <row r="48" spans="1:12" x14ac:dyDescent="0.35">
      <c r="A48" t="s">
        <v>78</v>
      </c>
      <c r="C48">
        <v>21.04</v>
      </c>
      <c r="D48" s="2"/>
      <c r="E48" s="12">
        <f t="shared" si="7"/>
        <v>1.6656666666666669</v>
      </c>
      <c r="G48" s="12">
        <f t="shared" si="8"/>
        <v>43.174080000000004</v>
      </c>
    </row>
    <row r="49" spans="1:12" x14ac:dyDescent="0.35">
      <c r="A49" s="14" t="s">
        <v>79</v>
      </c>
      <c r="B49" s="14"/>
      <c r="C49" s="14">
        <v>0.25</v>
      </c>
      <c r="D49" s="15"/>
      <c r="E49" s="15">
        <f t="shared" si="7"/>
        <v>1.9791666666666669E-2</v>
      </c>
      <c r="F49" s="14"/>
      <c r="G49" s="15">
        <f t="shared" si="8"/>
        <v>0.51300000000000001</v>
      </c>
    </row>
    <row r="50" spans="1:12" x14ac:dyDescent="0.35">
      <c r="A50" s="14" t="s">
        <v>80</v>
      </c>
      <c r="B50" s="14"/>
      <c r="C50" s="14">
        <v>0.01</v>
      </c>
      <c r="D50" s="15"/>
      <c r="E50" s="15">
        <f t="shared" si="7"/>
        <v>7.9166666666666676E-4</v>
      </c>
      <c r="F50" s="14"/>
      <c r="G50" s="15">
        <f t="shared" si="8"/>
        <v>2.0520000000000004E-2</v>
      </c>
    </row>
    <row r="51" spans="1:12" x14ac:dyDescent="0.35">
      <c r="A51" s="14" t="s">
        <v>81</v>
      </c>
      <c r="B51" s="14"/>
      <c r="C51" s="14">
        <v>0.01</v>
      </c>
      <c r="D51" s="15"/>
      <c r="E51" s="15">
        <f t="shared" si="7"/>
        <v>7.9166666666666676E-4</v>
      </c>
      <c r="F51" s="14"/>
      <c r="G51" s="15">
        <f t="shared" si="8"/>
        <v>2.0520000000000004E-2</v>
      </c>
    </row>
    <row r="52" spans="1:12" x14ac:dyDescent="0.35">
      <c r="B52" t="s">
        <v>20</v>
      </c>
    </row>
    <row r="53" spans="1:12" x14ac:dyDescent="0.35">
      <c r="A53" s="4" t="s">
        <v>19</v>
      </c>
      <c r="B53" s="4"/>
      <c r="C53" s="4" t="s">
        <v>31</v>
      </c>
      <c r="D53" s="4"/>
      <c r="E53" s="4"/>
      <c r="F53" s="4">
        <v>8.5</v>
      </c>
      <c r="G53" s="4" t="s">
        <v>30</v>
      </c>
      <c r="H53" s="4"/>
      <c r="I53" s="4"/>
      <c r="J53" s="4">
        <f>F53*280</f>
        <v>2380</v>
      </c>
      <c r="K53" s="4" t="s">
        <v>25</v>
      </c>
    </row>
    <row r="54" spans="1:12" x14ac:dyDescent="0.35">
      <c r="A54" s="4"/>
      <c r="B54" s="4">
        <v>0.2</v>
      </c>
      <c r="C54" s="4"/>
      <c r="D54" s="4"/>
      <c r="E54" s="4"/>
      <c r="F54" s="4">
        <f>B54*J53*E4</f>
        <v>3427200</v>
      </c>
      <c r="G54" s="4" t="s">
        <v>26</v>
      </c>
      <c r="H54" s="4">
        <f>F54/1000/1000</f>
        <v>3.4272</v>
      </c>
      <c r="I54" s="4" t="s">
        <v>27</v>
      </c>
      <c r="J54" s="4"/>
      <c r="K54" s="4"/>
    </row>
    <row r="55" spans="1:12" x14ac:dyDescent="0.35">
      <c r="A55" s="4"/>
      <c r="B55" s="5" t="s">
        <v>29</v>
      </c>
      <c r="C55" s="4"/>
      <c r="D55" s="4"/>
      <c r="E55" s="4"/>
      <c r="F55" s="4"/>
      <c r="G55" s="4" t="s">
        <v>28</v>
      </c>
      <c r="H55" s="4">
        <v>9.9999999999999995E-8</v>
      </c>
      <c r="I55" s="4" t="s">
        <v>7</v>
      </c>
      <c r="J55" s="4"/>
      <c r="K55" s="4"/>
    </row>
    <row r="56" spans="1:12" x14ac:dyDescent="0.35">
      <c r="A56" s="4"/>
      <c r="B56" s="4"/>
      <c r="C56" s="4"/>
      <c r="D56" s="4"/>
      <c r="E56" s="4"/>
      <c r="F56" s="4"/>
      <c r="G56" s="4"/>
      <c r="H56" s="4">
        <f>H55*1000*1000</f>
        <v>9.9999999999999992E-2</v>
      </c>
      <c r="I56" s="4" t="s">
        <v>24</v>
      </c>
      <c r="J56" s="4"/>
      <c r="K56" s="4"/>
    </row>
    <row r="58" spans="1:12" x14ac:dyDescent="0.35">
      <c r="A58" t="s">
        <v>60</v>
      </c>
    </row>
    <row r="59" spans="1:12" x14ac:dyDescent="0.35">
      <c r="C59" t="s">
        <v>61</v>
      </c>
      <c r="I59">
        <v>2014888</v>
      </c>
      <c r="J59" t="s">
        <v>7</v>
      </c>
      <c r="K59" s="2">
        <f>I59*265/1000</f>
        <v>533945.31999999995</v>
      </c>
      <c r="L59" t="s">
        <v>62</v>
      </c>
    </row>
    <row r="62" spans="1:12" x14ac:dyDescent="0.35">
      <c r="A62" s="1" t="s">
        <v>42</v>
      </c>
    </row>
    <row r="63" spans="1:12" x14ac:dyDescent="0.35">
      <c r="A63" t="s">
        <v>36</v>
      </c>
      <c r="B63">
        <v>7752</v>
      </c>
      <c r="C63" t="s">
        <v>43</v>
      </c>
      <c r="D63" t="s">
        <v>45</v>
      </c>
      <c r="F63" t="s">
        <v>46</v>
      </c>
      <c r="H63" t="s">
        <v>47</v>
      </c>
      <c r="I63" t="s">
        <v>55</v>
      </c>
    </row>
    <row r="64" spans="1:12" x14ac:dyDescent="0.35">
      <c r="A64" t="s">
        <v>44</v>
      </c>
      <c r="D64">
        <v>1</v>
      </c>
      <c r="E64" t="s">
        <v>38</v>
      </c>
      <c r="F64">
        <v>1</v>
      </c>
      <c r="G64" t="s">
        <v>2</v>
      </c>
      <c r="H64">
        <f>D64+F64</f>
        <v>2</v>
      </c>
      <c r="I64" t="s">
        <v>2</v>
      </c>
    </row>
    <row r="65" spans="1:13" x14ac:dyDescent="0.35">
      <c r="A65" t="s">
        <v>48</v>
      </c>
      <c r="D65">
        <v>4</v>
      </c>
      <c r="E65" t="s">
        <v>37</v>
      </c>
      <c r="F65">
        <v>4</v>
      </c>
      <c r="G65" t="s">
        <v>37</v>
      </c>
    </row>
    <row r="66" spans="1:13" x14ac:dyDescent="0.35">
      <c r="A66" t="s">
        <v>49</v>
      </c>
      <c r="D66" s="6">
        <f>D64*D65/1000</f>
        <v>4.0000000000000001E-3</v>
      </c>
      <c r="E66" t="s">
        <v>6</v>
      </c>
      <c r="F66" s="6">
        <f>F64*F65/1000</f>
        <v>4.0000000000000001E-3</v>
      </c>
      <c r="G66" t="s">
        <v>6</v>
      </c>
      <c r="H66" s="6">
        <f>D66+F66</f>
        <v>8.0000000000000002E-3</v>
      </c>
      <c r="I66" t="s">
        <v>6</v>
      </c>
    </row>
    <row r="67" spans="1:13" x14ac:dyDescent="0.35">
      <c r="F67" t="s">
        <v>50</v>
      </c>
      <c r="H67">
        <v>8.0000000000000002E-3</v>
      </c>
      <c r="I67" t="s">
        <v>6</v>
      </c>
    </row>
    <row r="68" spans="1:13" x14ac:dyDescent="0.35">
      <c r="H68" s="2">
        <f>H67*3.6*B63/1000</f>
        <v>0.22325760000000003</v>
      </c>
      <c r="I68" t="s">
        <v>7</v>
      </c>
    </row>
    <row r="70" spans="1:13" x14ac:dyDescent="0.35">
      <c r="K70" s="6"/>
      <c r="M70" s="2"/>
    </row>
    <row r="71" spans="1:13" x14ac:dyDescent="0.35">
      <c r="K71" s="6"/>
      <c r="M71" s="6"/>
    </row>
    <row r="76" spans="1:13" x14ac:dyDescent="0.35">
      <c r="A76" s="1"/>
    </row>
    <row r="79" spans="1:13" x14ac:dyDescent="0.35">
      <c r="B79" s="2"/>
    </row>
    <row r="80" spans="1:13" x14ac:dyDescent="0.35">
      <c r="F80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57C2-18EA-4908-91A0-387467A5FDFB}">
  <dimension ref="A1:G2"/>
  <sheetViews>
    <sheetView workbookViewId="0">
      <selection activeCell="G2" sqref="G2"/>
    </sheetView>
  </sheetViews>
  <sheetFormatPr defaultRowHeight="14.5" x14ac:dyDescent="0.35"/>
  <sheetData>
    <row r="1" spans="1:7" x14ac:dyDescent="0.35">
      <c r="A1" s="1" t="s">
        <v>51</v>
      </c>
      <c r="E1" t="s">
        <v>54</v>
      </c>
      <c r="F1">
        <v>280</v>
      </c>
      <c r="G1" t="s">
        <v>33</v>
      </c>
    </row>
    <row r="2" spans="1:7" x14ac:dyDescent="0.35">
      <c r="A2" t="s">
        <v>53</v>
      </c>
      <c r="E2" t="s">
        <v>54</v>
      </c>
      <c r="F2">
        <v>6720</v>
      </c>
      <c r="G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Enefit280-2 heite arvutus</vt:lpstr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</dc:creator>
  <cp:lastModifiedBy>Juhan Ruut</cp:lastModifiedBy>
  <dcterms:created xsi:type="dcterms:W3CDTF">2021-04-23T08:51:18Z</dcterms:created>
  <dcterms:modified xsi:type="dcterms:W3CDTF">2024-02-20T09:21:04Z</dcterms:modified>
</cp:coreProperties>
</file>